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amer\Desktop\"/>
    </mc:Choice>
  </mc:AlternateContent>
  <xr:revisionPtr revIDLastSave="0" documentId="13_ncr:1_{979F1D62-027D-4C88-BFEB-E088BB7E624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B Gun" sheetId="1" r:id="rId1"/>
    <sheet name="Pisto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60" i="2"/>
  <c r="E60" i="2"/>
  <c r="D60" i="2"/>
  <c r="C60" i="2"/>
  <c r="B60" i="2"/>
  <c r="F59" i="2"/>
  <c r="E59" i="2"/>
  <c r="D59" i="2"/>
  <c r="C59" i="2"/>
  <c r="B59" i="2"/>
  <c r="F58" i="2"/>
  <c r="E58" i="2"/>
  <c r="D58" i="2"/>
  <c r="C58" i="2"/>
  <c r="B58" i="2"/>
  <c r="F57" i="2"/>
  <c r="E57" i="2"/>
  <c r="D57" i="2"/>
  <c r="C57" i="2"/>
  <c r="B57" i="2"/>
  <c r="F56" i="2"/>
  <c r="E56" i="2"/>
  <c r="D56" i="2"/>
  <c r="C56" i="2"/>
  <c r="B56" i="2"/>
  <c r="F55" i="2"/>
  <c r="E55" i="2"/>
  <c r="D55" i="2"/>
  <c r="C55" i="2"/>
  <c r="B55" i="2"/>
  <c r="F54" i="2"/>
  <c r="E54" i="2"/>
  <c r="D54" i="2"/>
  <c r="C54" i="2"/>
  <c r="B54" i="2"/>
  <c r="F53" i="2"/>
  <c r="E53" i="2"/>
  <c r="D53" i="2"/>
  <c r="C53" i="2"/>
  <c r="B53" i="2"/>
  <c r="F49" i="2"/>
  <c r="E49" i="2"/>
  <c r="D49" i="2"/>
  <c r="C49" i="2"/>
  <c r="B49" i="2"/>
  <c r="F47" i="2"/>
  <c r="E47" i="2"/>
  <c r="D47" i="2"/>
  <c r="C47" i="2"/>
  <c r="B47" i="2"/>
  <c r="F45" i="2"/>
  <c r="E45" i="2"/>
  <c r="D45" i="2"/>
  <c r="C45" i="2"/>
  <c r="B45" i="2"/>
  <c r="F43" i="2"/>
  <c r="E43" i="2"/>
  <c r="D43" i="2"/>
  <c r="C43" i="2"/>
  <c r="B43" i="2"/>
  <c r="F42" i="2"/>
  <c r="E42" i="2"/>
  <c r="D42" i="2"/>
  <c r="C42" i="2"/>
  <c r="B42" i="2"/>
  <c r="F38" i="2"/>
  <c r="E38" i="2"/>
  <c r="D38" i="2"/>
  <c r="C38" i="2"/>
  <c r="B38" i="2"/>
  <c r="F37" i="2"/>
  <c r="E37" i="2"/>
  <c r="D37" i="2"/>
  <c r="C37" i="2"/>
  <c r="B37" i="2"/>
  <c r="F35" i="2"/>
  <c r="E35" i="2"/>
  <c r="D35" i="2"/>
  <c r="C35" i="2"/>
  <c r="B35" i="2"/>
  <c r="F34" i="2"/>
  <c r="E34" i="2"/>
  <c r="D34" i="2"/>
  <c r="C34" i="2"/>
  <c r="B34" i="2"/>
  <c r="F32" i="2"/>
  <c r="E32" i="2"/>
  <c r="D32" i="2"/>
  <c r="C32" i="2"/>
  <c r="B32" i="2"/>
  <c r="F31" i="2"/>
  <c r="E31" i="2"/>
  <c r="D31" i="2"/>
  <c r="C31" i="2"/>
  <c r="B31" i="2"/>
  <c r="F30" i="2"/>
  <c r="E30" i="2"/>
  <c r="D30" i="2"/>
  <c r="C30" i="2"/>
  <c r="B30" i="2"/>
  <c r="F26" i="2"/>
  <c r="E26" i="2"/>
  <c r="D26" i="2"/>
  <c r="C26" i="2"/>
  <c r="B26" i="2"/>
  <c r="F25" i="2"/>
  <c r="E25" i="2"/>
  <c r="D25" i="2"/>
  <c r="C25" i="2"/>
  <c r="B25" i="2"/>
  <c r="F23" i="2"/>
  <c r="E23" i="2"/>
  <c r="D23" i="2"/>
  <c r="C23" i="2"/>
  <c r="B23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2" i="2"/>
  <c r="E12" i="2"/>
  <c r="D12" i="2"/>
  <c r="C12" i="2"/>
  <c r="B12" i="2"/>
  <c r="F11" i="2"/>
  <c r="E11" i="2"/>
  <c r="D11" i="2"/>
  <c r="C11" i="2"/>
  <c r="B11" i="2"/>
  <c r="F9" i="2"/>
  <c r="E9" i="2"/>
  <c r="D9" i="2"/>
  <c r="C9" i="2"/>
  <c r="B9" i="2"/>
  <c r="F8" i="2"/>
  <c r="E8" i="2"/>
  <c r="D8" i="2"/>
  <c r="C8" i="2"/>
  <c r="B8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G19" i="1" l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3" i="1" l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B5" i="1" l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<sst xmlns="http://schemas.openxmlformats.org/spreadsheetml/2006/main" count="101" uniqueCount="38">
  <si>
    <t>Rank</t>
  </si>
  <si>
    <t>Participant</t>
  </si>
  <si>
    <t>Prone</t>
  </si>
  <si>
    <t>Standing</t>
  </si>
  <si>
    <t>Kneeling</t>
  </si>
  <si>
    <t>Individual</t>
  </si>
  <si>
    <t>Place</t>
  </si>
  <si>
    <t>State Games of America - BB Gun</t>
  </si>
  <si>
    <t>Boys  8 - 11</t>
  </si>
  <si>
    <t>Girls   8 - 11</t>
  </si>
  <si>
    <t>Girls   12 - 14</t>
  </si>
  <si>
    <t>Girls  15 - 19</t>
  </si>
  <si>
    <t>Mclaughlin, Lauren (115)</t>
  </si>
  <si>
    <t>189 - 9</t>
  </si>
  <si>
    <t>189 - 6</t>
  </si>
  <si>
    <t>0 - 0</t>
  </si>
  <si>
    <t>378 - 15</t>
  </si>
  <si>
    <t>Elkins, Allison (107)</t>
  </si>
  <si>
    <t>191 - 8</t>
  </si>
  <si>
    <t>186 - 5</t>
  </si>
  <si>
    <t>377 - 13</t>
  </si>
  <si>
    <t>** GRRPC Shooters</t>
  </si>
  <si>
    <t>**</t>
  </si>
  <si>
    <t>SGA Pistol at Grand Rapids Rifle &amp; Pistol Club</t>
  </si>
  <si>
    <t>22 - 1 Hand Any Sight</t>
  </si>
  <si>
    <t>Open</t>
  </si>
  <si>
    <t>Slow Fire</t>
  </si>
  <si>
    <t>Timed Fire</t>
  </si>
  <si>
    <t>Rapid Fire</t>
  </si>
  <si>
    <t>Women</t>
  </si>
  <si>
    <t>Senior</t>
  </si>
  <si>
    <t>Center Fire 1 Hand Any Sight</t>
  </si>
  <si>
    <t>22 - 2 Hand Any Sight</t>
  </si>
  <si>
    <t>22 - 2 Hand Iron Sight</t>
  </si>
  <si>
    <t>Junior</t>
  </si>
  <si>
    <t>Center Fire 2 Hand Iron Sights</t>
  </si>
  <si>
    <t>Results also available online</t>
  </si>
  <si>
    <t>http://www.orionresults.com/team/TournamentPage.aspx?MatchID=1.3173.719294797.2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</si>
</sst>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/>
    <xf numFmtId="49" fontId="1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center"/>
    </xf>
    <xf numFmtId="0" fontId="21" fillId="0" borderId="0" xfId="42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ionresults.com/team/TournamentPage.aspx?MatchID=1.3173.719294797.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opLeftCell="A3" workbookViewId="0">
      <selection activeCell="C11" sqref="C11"/>
    </sheetView>
  </sheetViews>
  <sheetFormatPr defaultRowHeight="15.75" x14ac:dyDescent="0.25"/>
  <cols>
    <col min="1" max="1" width="7" style="6" customWidth="1"/>
    <col min="2" max="2" width="6.28515625" style="1" customWidth="1"/>
    <col min="3" max="3" width="27" customWidth="1"/>
    <col min="7" max="7" width="12.28515625" customWidth="1"/>
  </cols>
  <sheetData>
    <row r="1" spans="1:7" ht="15" x14ac:dyDescent="0.25">
      <c r="A1" s="7"/>
      <c r="B1" s="7"/>
      <c r="C1" s="7"/>
    </row>
    <row r="2" spans="1:7" ht="33" customHeight="1" x14ac:dyDescent="0.35">
      <c r="A2" s="9" t="s">
        <v>7</v>
      </c>
      <c r="B2" s="9"/>
      <c r="C2" s="9"/>
      <c r="D2" s="9"/>
      <c r="E2" s="9"/>
      <c r="F2" s="9"/>
      <c r="G2" s="9"/>
    </row>
    <row r="3" spans="1:7" ht="22.5" customHeight="1" x14ac:dyDescent="0.3">
      <c r="A3" s="8" t="s">
        <v>8</v>
      </c>
      <c r="B3" s="8"/>
      <c r="C3" s="8"/>
      <c r="D3" s="8"/>
      <c r="E3" s="8"/>
      <c r="F3" s="8"/>
      <c r="G3" s="8"/>
    </row>
    <row r="4" spans="1:7" s="2" customFormat="1" x14ac:dyDescent="0.25">
      <c r="A4" s="6"/>
      <c r="B4" s="3" t="s">
        <v>6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2" customFormat="1" x14ac:dyDescent="0.25">
      <c r="A5" s="6"/>
      <c r="B5" s="3" t="str">
        <f>"1"</f>
        <v>1</v>
      </c>
      <c r="C5" s="2" t="str">
        <f>"Markley, Christopher (109)"</f>
        <v>Markley, Christopher (109)</v>
      </c>
      <c r="D5" s="2" t="str">
        <f>"184 - 5"</f>
        <v>184 - 5</v>
      </c>
      <c r="E5" s="2" t="str">
        <f>"181 - 6"</f>
        <v>181 - 6</v>
      </c>
      <c r="F5" s="2" t="str">
        <f>"0 - 0"</f>
        <v>0 - 0</v>
      </c>
      <c r="G5" s="2" t="str">
        <f>"365 - 11"</f>
        <v>365 - 11</v>
      </c>
    </row>
    <row r="6" spans="1:7" s="2" customFormat="1" x14ac:dyDescent="0.25">
      <c r="A6" s="6"/>
      <c r="B6" s="3" t="str">
        <f>"2"</f>
        <v>2</v>
      </c>
      <c r="C6" s="2" t="str">
        <f>"Mertes, Jacob (114)"</f>
        <v>Mertes, Jacob (114)</v>
      </c>
      <c r="D6" s="2" t="str">
        <f>"186 - 6"</f>
        <v>186 - 6</v>
      </c>
      <c r="E6" s="2" t="str">
        <f>"161 - 0"</f>
        <v>161 - 0</v>
      </c>
      <c r="F6" s="2" t="str">
        <f>"0 - 0"</f>
        <v>0 - 0</v>
      </c>
      <c r="G6" s="2" t="str">
        <f>"347 - 6"</f>
        <v>347 - 6</v>
      </c>
    </row>
    <row r="7" spans="1:7" s="2" customFormat="1" x14ac:dyDescent="0.25">
      <c r="A7" s="6" t="s">
        <v>22</v>
      </c>
      <c r="B7" s="3" t="str">
        <f>"3"</f>
        <v>3</v>
      </c>
      <c r="C7" s="2" t="str">
        <f>"Williams, Terrence (113)"</f>
        <v>Williams, Terrence (113)</v>
      </c>
      <c r="D7" s="2" t="str">
        <f>"163 - 2"</f>
        <v>163 - 2</v>
      </c>
      <c r="E7" s="2" t="str">
        <f>"179 - 3"</f>
        <v>179 - 3</v>
      </c>
      <c r="F7" s="2" t="str">
        <f>"0 - 0"</f>
        <v>0 - 0</v>
      </c>
      <c r="G7" s="2" t="str">
        <f>"342 - 5"</f>
        <v>342 - 5</v>
      </c>
    </row>
    <row r="8" spans="1:7" s="2" customFormat="1" x14ac:dyDescent="0.25">
      <c r="A8" s="6" t="s">
        <v>22</v>
      </c>
      <c r="B8" s="3" t="str">
        <f>"4"</f>
        <v>4</v>
      </c>
      <c r="C8" s="2" t="str">
        <f>"Novakoski, Xander (108)"</f>
        <v>Novakoski, Xander (108)</v>
      </c>
      <c r="D8" s="2" t="str">
        <f>"174 - 3"</f>
        <v>174 - 3</v>
      </c>
      <c r="E8" s="2" t="str">
        <f>"155 - 1"</f>
        <v>155 - 1</v>
      </c>
      <c r="F8" s="2" t="str">
        <f>"0 - 0"</f>
        <v>0 - 0</v>
      </c>
      <c r="G8" s="2" t="str">
        <f>"329 - 4"</f>
        <v>329 - 4</v>
      </c>
    </row>
    <row r="9" spans="1:7" ht="26.25" customHeight="1" x14ac:dyDescent="0.3">
      <c r="A9" s="8" t="s">
        <v>9</v>
      </c>
      <c r="B9" s="8"/>
      <c r="C9" s="8"/>
      <c r="D9" s="8"/>
      <c r="E9" s="8"/>
      <c r="F9" s="8"/>
      <c r="G9" s="8"/>
    </row>
    <row r="10" spans="1:7" x14ac:dyDescent="0.25"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5</v>
      </c>
    </row>
    <row r="11" spans="1:7" x14ac:dyDescent="0.25">
      <c r="B11" s="2" t="str">
        <f>"1"</f>
        <v>1</v>
      </c>
      <c r="C11" s="2" t="str">
        <f>"Morrison, Skylar (111)"</f>
        <v>Morrison, Skylar (111)</v>
      </c>
      <c r="D11" s="2" t="str">
        <f>"195 - 11"</f>
        <v>195 - 11</v>
      </c>
      <c r="E11" s="2" t="str">
        <f>"190 - 10"</f>
        <v>190 - 10</v>
      </c>
      <c r="F11" s="2" t="str">
        <f>"0 - 0"</f>
        <v>0 - 0</v>
      </c>
      <c r="G11" s="2" t="str">
        <f>"385 - 21"</f>
        <v>385 - 21</v>
      </c>
    </row>
    <row r="12" spans="1:7" x14ac:dyDescent="0.25">
      <c r="B12" s="2" t="str">
        <f>"2"</f>
        <v>2</v>
      </c>
      <c r="C12" s="2" t="str">
        <f>"Turner, Emily (110)"</f>
        <v>Turner, Emily (110)</v>
      </c>
      <c r="D12" s="2" t="str">
        <f>"189 - 4"</f>
        <v>189 - 4</v>
      </c>
      <c r="E12" s="2" t="str">
        <f>"188 - 6"</f>
        <v>188 - 6</v>
      </c>
      <c r="F12" s="2" t="str">
        <f>"0 - 0"</f>
        <v>0 - 0</v>
      </c>
      <c r="G12" s="2" t="str">
        <f>"377 - 10"</f>
        <v>377 - 10</v>
      </c>
    </row>
    <row r="13" spans="1:7" x14ac:dyDescent="0.25">
      <c r="B13" s="2" t="str">
        <f>"3"</f>
        <v>3</v>
      </c>
      <c r="C13" s="2" t="str">
        <f>"Hall, Gracen (112)"</f>
        <v>Hall, Gracen (112)</v>
      </c>
      <c r="D13" s="2" t="str">
        <f>"188 - 8"</f>
        <v>188 - 8</v>
      </c>
      <c r="E13" s="2" t="str">
        <f>"188 - 7"</f>
        <v>188 - 7</v>
      </c>
      <c r="F13" s="2" t="str">
        <f>"0 - 0"</f>
        <v>0 - 0</v>
      </c>
      <c r="G13" s="2" t="str">
        <f>"376 - 15"</f>
        <v>376 - 15</v>
      </c>
    </row>
    <row r="14" spans="1:7" ht="26.25" customHeight="1" x14ac:dyDescent="0.3">
      <c r="A14" s="8" t="s">
        <v>10</v>
      </c>
      <c r="B14" s="8"/>
      <c r="C14" s="8"/>
      <c r="D14" s="8"/>
      <c r="E14" s="8"/>
      <c r="F14" s="8"/>
      <c r="G14" s="8"/>
    </row>
    <row r="15" spans="1:7" x14ac:dyDescent="0.25">
      <c r="B15" s="2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</row>
    <row r="16" spans="1:7" x14ac:dyDescent="0.25">
      <c r="B16" s="2" t="str">
        <f>"1"</f>
        <v>1</v>
      </c>
      <c r="C16" s="2" t="str">
        <f>"Temples, M. Cheyenne (105)"</f>
        <v>Temples, M. Cheyenne (105)</v>
      </c>
      <c r="D16" s="2" t="str">
        <f>"192 - 10"</f>
        <v>192 - 10</v>
      </c>
      <c r="E16" s="2" t="str">
        <f>"191 - 9"</f>
        <v>191 - 9</v>
      </c>
      <c r="F16" s="2" t="str">
        <f>"0 - 0"</f>
        <v>0 - 0</v>
      </c>
      <c r="G16" s="2" t="str">
        <f>"383 - 19"</f>
        <v>383 - 19</v>
      </c>
    </row>
    <row r="17" spans="1:7" x14ac:dyDescent="0.25">
      <c r="B17" s="2" t="str">
        <f>"2"</f>
        <v>2</v>
      </c>
      <c r="C17" s="2" t="str">
        <f>"Lee, Madelyn (103)"</f>
        <v>Lee, Madelyn (103)</v>
      </c>
      <c r="D17" s="2" t="str">
        <f>"189 - 9"</f>
        <v>189 - 9</v>
      </c>
      <c r="E17" s="2" t="str">
        <f>"192 - 10"</f>
        <v>192 - 10</v>
      </c>
      <c r="F17" s="2" t="str">
        <f>"0 - 0"</f>
        <v>0 - 0</v>
      </c>
      <c r="G17" s="2" t="str">
        <f>"381 - 19"</f>
        <v>381 - 19</v>
      </c>
    </row>
    <row r="18" spans="1:7" x14ac:dyDescent="0.25">
      <c r="B18" s="2" t="str">
        <f>"3"</f>
        <v>3</v>
      </c>
      <c r="C18" s="2" t="str">
        <f>"Waters, Katie (101)"</f>
        <v>Waters, Katie (101)</v>
      </c>
      <c r="D18" s="2" t="str">
        <f>"190 - 9"</f>
        <v>190 - 9</v>
      </c>
      <c r="E18" s="2" t="str">
        <f>"186 - 3"</f>
        <v>186 - 3</v>
      </c>
      <c r="F18" s="2" t="str">
        <f>"0 - 0"</f>
        <v>0 - 0</v>
      </c>
      <c r="G18" s="2" t="str">
        <f>"376 - 12"</f>
        <v>376 - 12</v>
      </c>
    </row>
    <row r="19" spans="1:7" x14ac:dyDescent="0.25">
      <c r="A19" s="6" t="s">
        <v>22</v>
      </c>
      <c r="B19" s="2" t="str">
        <f>"4"</f>
        <v>4</v>
      </c>
      <c r="C19" s="2" t="str">
        <f>"Perrin, Natalie (106)"</f>
        <v>Perrin, Natalie (106)</v>
      </c>
      <c r="D19" s="2" t="str">
        <f>"186 - 2"</f>
        <v>186 - 2</v>
      </c>
      <c r="E19" s="2" t="str">
        <f>"189 - 8"</f>
        <v>189 - 8</v>
      </c>
      <c r="F19" s="2" t="str">
        <f>"0 - 0"</f>
        <v>0 - 0</v>
      </c>
      <c r="G19" s="2" t="str">
        <f>"375 - 10"</f>
        <v>375 - 10</v>
      </c>
    </row>
    <row r="20" spans="1:7" ht="26.25" customHeight="1" x14ac:dyDescent="0.3">
      <c r="A20" s="8" t="s">
        <v>11</v>
      </c>
      <c r="B20" s="8"/>
      <c r="C20" s="8"/>
      <c r="D20" s="8"/>
      <c r="E20" s="8"/>
      <c r="F20" s="8"/>
      <c r="G20" s="8"/>
    </row>
    <row r="21" spans="1:7" x14ac:dyDescent="0.25">
      <c r="B21" s="3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</row>
    <row r="22" spans="1:7" x14ac:dyDescent="0.25">
      <c r="A22" s="6" t="s">
        <v>22</v>
      </c>
      <c r="B22" s="3">
        <v>1</v>
      </c>
      <c r="C22" s="2" t="s">
        <v>12</v>
      </c>
      <c r="D22" s="2" t="s">
        <v>13</v>
      </c>
      <c r="E22" s="2" t="s">
        <v>14</v>
      </c>
      <c r="F22" s="2" t="s">
        <v>15</v>
      </c>
      <c r="G22" s="2" t="s">
        <v>16</v>
      </c>
    </row>
    <row r="23" spans="1:7" x14ac:dyDescent="0.25">
      <c r="A23" s="6" t="s">
        <v>22</v>
      </c>
      <c r="B23" s="3">
        <v>2</v>
      </c>
      <c r="C23" s="2" t="s">
        <v>17</v>
      </c>
      <c r="D23" s="2" t="s">
        <v>18</v>
      </c>
      <c r="E23" s="2" t="s">
        <v>19</v>
      </c>
      <c r="F23" s="2" t="s">
        <v>15</v>
      </c>
      <c r="G23" s="2" t="s">
        <v>20</v>
      </c>
    </row>
    <row r="27" spans="1:7" x14ac:dyDescent="0.25">
      <c r="C27" s="5" t="s">
        <v>21</v>
      </c>
    </row>
  </sheetData>
  <mergeCells count="6">
    <mergeCell ref="A20:G20"/>
    <mergeCell ref="A1:C1"/>
    <mergeCell ref="A3:G3"/>
    <mergeCell ref="A2:G2"/>
    <mergeCell ref="A9:G9"/>
    <mergeCell ref="A14:G1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08D4-8F61-4B17-A8B7-54B46EC65597}">
  <dimension ref="A1:G64"/>
  <sheetViews>
    <sheetView tabSelected="1" workbookViewId="0">
      <selection activeCell="F53" sqref="F53"/>
    </sheetView>
  </sheetViews>
  <sheetFormatPr defaultRowHeight="15.75" x14ac:dyDescent="0.25"/>
  <cols>
    <col min="1" max="1" width="7.7109375" style="10" customWidth="1"/>
    <col min="2" max="2" width="25.28515625" style="13" customWidth="1"/>
    <col min="3" max="3" width="10.85546875" customWidth="1"/>
    <col min="4" max="4" width="11" customWidth="1"/>
    <col min="5" max="5" width="10" customWidth="1"/>
    <col min="6" max="6" width="12.42578125" customWidth="1"/>
  </cols>
  <sheetData>
    <row r="1" spans="1:7" ht="44.25" customHeight="1" x14ac:dyDescent="0.35">
      <c r="B1" s="11" t="s">
        <v>23</v>
      </c>
      <c r="C1" s="11"/>
      <c r="D1" s="11"/>
      <c r="E1" s="11"/>
      <c r="F1" s="11"/>
    </row>
    <row r="2" spans="1:7" ht="18.75" x14ac:dyDescent="0.3">
      <c r="B2" s="8" t="s">
        <v>24</v>
      </c>
      <c r="C2" s="8"/>
      <c r="D2" s="8"/>
      <c r="E2" s="8"/>
      <c r="F2" s="8"/>
    </row>
    <row r="3" spans="1:7" x14ac:dyDescent="0.25">
      <c r="B3" s="12" t="s">
        <v>25</v>
      </c>
      <c r="C3" t="s">
        <v>26</v>
      </c>
      <c r="D3" t="s">
        <v>27</v>
      </c>
      <c r="E3" t="s">
        <v>28</v>
      </c>
      <c r="F3" t="s">
        <v>5</v>
      </c>
    </row>
    <row r="4" spans="1:7" x14ac:dyDescent="0.25">
      <c r="B4" s="13" t="str">
        <f>"Betterly, David (104)"</f>
        <v>Betterly, David (104)</v>
      </c>
      <c r="C4" t="str">
        <f>"195 - 4"</f>
        <v>195 - 4</v>
      </c>
      <c r="D4" t="str">
        <f>"194 - 6"</f>
        <v>194 - 6</v>
      </c>
      <c r="E4" t="str">
        <f>"185 - 5"</f>
        <v>185 - 5</v>
      </c>
      <c r="F4" t="str">
        <f>"574 - 15"</f>
        <v>574 - 15</v>
      </c>
    </row>
    <row r="5" spans="1:7" x14ac:dyDescent="0.25">
      <c r="B5" s="13" t="str">
        <f>"Smith, Simon Pierre (103)"</f>
        <v>Smith, Simon Pierre (103)</v>
      </c>
      <c r="C5" t="str">
        <f>"191 - 6"</f>
        <v>191 - 6</v>
      </c>
      <c r="D5" t="str">
        <f>"187 - 3"</f>
        <v>187 - 3</v>
      </c>
      <c r="E5" t="str">
        <f>"190 - 3"</f>
        <v>190 - 3</v>
      </c>
      <c r="F5" t="str">
        <f>"568 - 12"</f>
        <v>568 - 12</v>
      </c>
    </row>
    <row r="6" spans="1:7" x14ac:dyDescent="0.25">
      <c r="A6" s="10" t="s">
        <v>22</v>
      </c>
      <c r="B6" s="13" t="str">
        <f>"Kuipers, Dan (102)"</f>
        <v>Kuipers, Dan (102)</v>
      </c>
      <c r="C6" t="str">
        <f>"192 - 4"</f>
        <v>192 - 4</v>
      </c>
      <c r="D6" t="str">
        <f>"186 - 7"</f>
        <v>186 - 7</v>
      </c>
      <c r="E6" t="str">
        <f>"184 - 4"</f>
        <v>184 - 4</v>
      </c>
      <c r="F6" t="str">
        <f>"562 - 15"</f>
        <v>562 - 15</v>
      </c>
    </row>
    <row r="7" spans="1:7" x14ac:dyDescent="0.25">
      <c r="B7" s="12" t="s">
        <v>29</v>
      </c>
    </row>
    <row r="8" spans="1:7" x14ac:dyDescent="0.25">
      <c r="B8" s="13" t="str">
        <f>"Kaminski, Lois (105)"</f>
        <v>Kaminski, Lois (105)</v>
      </c>
      <c r="C8" t="str">
        <f>"189 - 3"</f>
        <v>189 - 3</v>
      </c>
      <c r="D8" t="str">
        <f>"182 - 7"</f>
        <v>182 - 7</v>
      </c>
      <c r="E8" t="str">
        <f>"177 - 3"</f>
        <v>177 - 3</v>
      </c>
      <c r="F8" t="str">
        <f>"548 - 13"</f>
        <v>548 - 13</v>
      </c>
    </row>
    <row r="9" spans="1:7" x14ac:dyDescent="0.25">
      <c r="A9" s="10" t="s">
        <v>22</v>
      </c>
      <c r="B9" s="13" t="str">
        <f>"Carr, Karly (101)"</f>
        <v>Carr, Karly (101)</v>
      </c>
      <c r="C9" t="str">
        <f>"183 - 1"</f>
        <v>183 - 1</v>
      </c>
      <c r="D9" t="str">
        <f>"184 - 3"</f>
        <v>184 - 3</v>
      </c>
      <c r="E9" t="str">
        <f>"178 - 1"</f>
        <v>178 - 1</v>
      </c>
      <c r="F9" t="str">
        <f>"545 - 5"</f>
        <v>545 - 5</v>
      </c>
    </row>
    <row r="10" spans="1:7" x14ac:dyDescent="0.25">
      <c r="B10" s="12" t="s">
        <v>30</v>
      </c>
    </row>
    <row r="11" spans="1:7" x14ac:dyDescent="0.25">
      <c r="A11" s="10" t="s">
        <v>22</v>
      </c>
      <c r="B11" s="13" t="str">
        <f>"Urbanski, Martin (106)"</f>
        <v>Urbanski, Martin (106)</v>
      </c>
      <c r="C11" t="str">
        <f>"184 - 5"</f>
        <v>184 - 5</v>
      </c>
      <c r="D11" t="str">
        <f>"171 - 2"</f>
        <v>171 - 2</v>
      </c>
      <c r="E11" t="str">
        <f>"176 - 3"</f>
        <v>176 - 3</v>
      </c>
      <c r="F11" t="str">
        <f>"531 - 10"</f>
        <v>531 - 10</v>
      </c>
    </row>
    <row r="12" spans="1:7" x14ac:dyDescent="0.25">
      <c r="B12" s="13" t="str">
        <f>"Ullmer, Randy (107)"</f>
        <v>Ullmer, Randy (107)</v>
      </c>
      <c r="C12" t="str">
        <f>"164 - 1"</f>
        <v>164 - 1</v>
      </c>
      <c r="D12" t="str">
        <f>"168 - 4"</f>
        <v>168 - 4</v>
      </c>
      <c r="E12" t="str">
        <f>"161 - 0"</f>
        <v>161 - 0</v>
      </c>
      <c r="F12" t="str">
        <f>"493 - 5"</f>
        <v>493 - 5</v>
      </c>
    </row>
    <row r="14" spans="1:7" ht="18.75" x14ac:dyDescent="0.3">
      <c r="B14" s="8" t="s">
        <v>31</v>
      </c>
      <c r="C14" s="8"/>
      <c r="D14" s="8"/>
      <c r="E14" s="8"/>
      <c r="F14" s="8"/>
      <c r="G14" s="8"/>
    </row>
    <row r="15" spans="1:7" ht="18.75" x14ac:dyDescent="0.3">
      <c r="B15" s="12" t="s">
        <v>25</v>
      </c>
      <c r="C15" t="s">
        <v>26</v>
      </c>
      <c r="D15" t="s">
        <v>27</v>
      </c>
      <c r="E15" t="s">
        <v>28</v>
      </c>
      <c r="F15" t="s">
        <v>5</v>
      </c>
      <c r="G15" s="4"/>
    </row>
    <row r="16" spans="1:7" x14ac:dyDescent="0.25">
      <c r="B16" s="13" t="str">
        <f>"Gustafson, George (107)"</f>
        <v>Gustafson, George (107)</v>
      </c>
      <c r="C16" t="str">
        <f>"195 - 10"</f>
        <v>195 - 10</v>
      </c>
      <c r="D16" t="str">
        <f>"193 - 4"</f>
        <v>193 - 4</v>
      </c>
      <c r="E16" t="str">
        <f>"188 - 7"</f>
        <v>188 - 7</v>
      </c>
      <c r="F16" t="str">
        <f>"576 - 21"</f>
        <v>576 - 21</v>
      </c>
    </row>
    <row r="17" spans="1:7" x14ac:dyDescent="0.25">
      <c r="A17" s="10" t="s">
        <v>22</v>
      </c>
      <c r="B17" s="13" t="str">
        <f>"Kuipers, Dan (103)"</f>
        <v>Kuipers, Dan (103)</v>
      </c>
      <c r="C17" t="str">
        <f>"190 - 7"</f>
        <v>190 - 7</v>
      </c>
      <c r="D17" t="str">
        <f>"176 - 3"</f>
        <v>176 - 3</v>
      </c>
      <c r="E17" t="str">
        <f>"177 - 3"</f>
        <v>177 - 3</v>
      </c>
      <c r="F17" t="str">
        <f>"543 - 13"</f>
        <v>543 - 13</v>
      </c>
    </row>
    <row r="18" spans="1:7" x14ac:dyDescent="0.25">
      <c r="B18" s="13" t="str">
        <f>"Smith, Simon Pierre (104)"</f>
        <v>Smith, Simon Pierre (104)</v>
      </c>
      <c r="C18" t="str">
        <f>"191 - 7"</f>
        <v>191 - 7</v>
      </c>
      <c r="D18" t="str">
        <f>"170 - 2"</f>
        <v>170 - 2</v>
      </c>
      <c r="E18" t="str">
        <f>"159 - 2"</f>
        <v>159 - 2</v>
      </c>
      <c r="F18" t="str">
        <f>"520 - 11"</f>
        <v>520 - 11</v>
      </c>
    </row>
    <row r="19" spans="1:7" x14ac:dyDescent="0.25">
      <c r="B19" s="13" t="str">
        <f>"Nohns, Dalton (110)"</f>
        <v>Nohns, Dalton (110)</v>
      </c>
      <c r="C19" t="str">
        <f>"158 - 3"</f>
        <v>158 - 3</v>
      </c>
      <c r="D19" t="str">
        <f>"168 - 2"</f>
        <v>168 - 2</v>
      </c>
      <c r="E19" t="str">
        <f>"144 - 0"</f>
        <v>144 - 0</v>
      </c>
      <c r="F19" t="str">
        <f>"470 - 5"</f>
        <v>470 - 5</v>
      </c>
    </row>
    <row r="20" spans="1:7" x14ac:dyDescent="0.25">
      <c r="B20" s="13" t="str">
        <f>"Jacques, Gary (102)"</f>
        <v>Jacques, Gary (102)</v>
      </c>
      <c r="C20" t="str">
        <f>"145 - 0"</f>
        <v>145 - 0</v>
      </c>
      <c r="D20" t="str">
        <f>"119 - 1"</f>
        <v>119 - 1</v>
      </c>
      <c r="E20" t="str">
        <f>"122 - 0"</f>
        <v>122 - 0</v>
      </c>
      <c r="F20" t="str">
        <f>"386 - 1"</f>
        <v>386 - 1</v>
      </c>
    </row>
    <row r="21" spans="1:7" x14ac:dyDescent="0.25">
      <c r="B21" s="13" t="str">
        <f>"LaForest, Marc (106)"</f>
        <v>LaForest, Marc (106)</v>
      </c>
      <c r="C21" t="str">
        <f>"61 - 0"</f>
        <v>61 - 0</v>
      </c>
      <c r="D21" t="str">
        <f>"72 - 0"</f>
        <v>72 - 0</v>
      </c>
      <c r="E21" t="str">
        <f>"39 - 0"</f>
        <v>39 - 0</v>
      </c>
      <c r="F21" t="str">
        <f>"172 - 0"</f>
        <v>172 - 0</v>
      </c>
    </row>
    <row r="22" spans="1:7" x14ac:dyDescent="0.25">
      <c r="B22" s="12" t="s">
        <v>29</v>
      </c>
    </row>
    <row r="23" spans="1:7" x14ac:dyDescent="0.25">
      <c r="A23" s="10" t="s">
        <v>22</v>
      </c>
      <c r="B23" s="13" t="str">
        <f>"Carr, Karly (109)"</f>
        <v>Carr, Karly (109)</v>
      </c>
      <c r="C23" t="str">
        <f>"147 - 1"</f>
        <v>147 - 1</v>
      </c>
      <c r="D23" t="str">
        <f>"161 - 0"</f>
        <v>161 - 0</v>
      </c>
      <c r="E23" t="str">
        <f>"148 - 1"</f>
        <v>148 - 1</v>
      </c>
      <c r="F23" t="str">
        <f>"456 - 2"</f>
        <v>456 - 2</v>
      </c>
    </row>
    <row r="24" spans="1:7" x14ac:dyDescent="0.25">
      <c r="B24" s="12" t="s">
        <v>30</v>
      </c>
    </row>
    <row r="25" spans="1:7" x14ac:dyDescent="0.25">
      <c r="A25" s="10" t="s">
        <v>22</v>
      </c>
      <c r="B25" s="13" t="str">
        <f>"Urbanski, Martin (108)"</f>
        <v>Urbanski, Martin (108)</v>
      </c>
      <c r="C25" t="str">
        <f>"180 - 8"</f>
        <v>180 - 8</v>
      </c>
      <c r="D25" t="str">
        <f>"176 - 3"</f>
        <v>176 - 3</v>
      </c>
      <c r="E25" t="str">
        <f>"147 - 1"</f>
        <v>147 - 1</v>
      </c>
      <c r="F25" t="str">
        <f>"503 - 12"</f>
        <v>503 - 12</v>
      </c>
    </row>
    <row r="26" spans="1:7" x14ac:dyDescent="0.25">
      <c r="B26" s="13" t="str">
        <f>"Jacques, Gary Sr (105)"</f>
        <v>Jacques, Gary Sr (105)</v>
      </c>
      <c r="C26" t="str">
        <f>"170 - 5"</f>
        <v>170 - 5</v>
      </c>
      <c r="D26" t="str">
        <f>"167 - 2"</f>
        <v>167 - 2</v>
      </c>
      <c r="E26" t="str">
        <f>"161 - 2"</f>
        <v>161 - 2</v>
      </c>
      <c r="F26" t="str">
        <f>"498 - 9"</f>
        <v>498 - 9</v>
      </c>
    </row>
    <row r="28" spans="1:7" ht="18.75" x14ac:dyDescent="0.3">
      <c r="B28" s="8" t="s">
        <v>32</v>
      </c>
      <c r="C28" s="8"/>
      <c r="D28" s="8"/>
      <c r="E28" s="8"/>
      <c r="F28" s="8"/>
      <c r="G28" s="8"/>
    </row>
    <row r="29" spans="1:7" ht="14.25" customHeight="1" x14ac:dyDescent="0.3">
      <c r="B29" s="12" t="s">
        <v>25</v>
      </c>
      <c r="C29" t="s">
        <v>26</v>
      </c>
      <c r="D29" t="s">
        <v>27</v>
      </c>
      <c r="E29" t="s">
        <v>28</v>
      </c>
      <c r="F29" t="s">
        <v>5</v>
      </c>
      <c r="G29" s="4"/>
    </row>
    <row r="30" spans="1:7" x14ac:dyDescent="0.25">
      <c r="B30" s="13" t="str">
        <f>"Barthel, Frank (101)"</f>
        <v>Barthel, Frank (101)</v>
      </c>
      <c r="C30" t="str">
        <f>"200 - 14"</f>
        <v>200 - 14</v>
      </c>
      <c r="D30" t="str">
        <f>"200 - 8"</f>
        <v>200 - 8</v>
      </c>
      <c r="E30" t="str">
        <f>"196 - 8"</f>
        <v>196 - 8</v>
      </c>
      <c r="F30" t="str">
        <f>"596 - 30"</f>
        <v>596 - 30</v>
      </c>
    </row>
    <row r="31" spans="1:7" x14ac:dyDescent="0.25">
      <c r="A31" s="10" t="s">
        <v>22</v>
      </c>
      <c r="B31" s="13" t="str">
        <f>"Culbert, Glenn (106)"</f>
        <v>Culbert, Glenn (106)</v>
      </c>
      <c r="C31" t="str">
        <f>"200 - 6"</f>
        <v>200 - 6</v>
      </c>
      <c r="D31" t="str">
        <f>"199 - 9"</f>
        <v>199 - 9</v>
      </c>
      <c r="E31" t="str">
        <f>"196 - 10"</f>
        <v>196 - 10</v>
      </c>
      <c r="F31" t="str">
        <f>"595 - 25"</f>
        <v>595 - 25</v>
      </c>
    </row>
    <row r="32" spans="1:7" x14ac:dyDescent="0.25">
      <c r="A32" s="10" t="s">
        <v>22</v>
      </c>
      <c r="B32" s="13" t="str">
        <f>"Dunn, Micheal (108)"</f>
        <v>Dunn, Micheal (108)</v>
      </c>
      <c r="C32" t="str">
        <f>"194 - 6"</f>
        <v>194 - 6</v>
      </c>
      <c r="D32" t="str">
        <f>"200 - 13"</f>
        <v>200 - 13</v>
      </c>
      <c r="E32" t="str">
        <f>"199 - 16"</f>
        <v>199 - 16</v>
      </c>
      <c r="F32" t="str">
        <f>"593 - 35"</f>
        <v>593 - 35</v>
      </c>
    </row>
    <row r="33" spans="1:6" x14ac:dyDescent="0.25">
      <c r="B33" s="12" t="s">
        <v>29</v>
      </c>
    </row>
    <row r="34" spans="1:6" x14ac:dyDescent="0.25">
      <c r="A34" s="10" t="s">
        <v>22</v>
      </c>
      <c r="B34" s="13" t="str">
        <f>"Mclaughlin, Lauren (110)"</f>
        <v>Mclaughlin, Lauren (110)</v>
      </c>
      <c r="C34" t="str">
        <f>"199 - 14"</f>
        <v>199 - 14</v>
      </c>
      <c r="D34" t="str">
        <f>"193 - 13"</f>
        <v>193 - 13</v>
      </c>
      <c r="E34" t="str">
        <f>"182 - 1"</f>
        <v>182 - 1</v>
      </c>
      <c r="F34" t="str">
        <f>"574 - 28"</f>
        <v>574 - 28</v>
      </c>
    </row>
    <row r="35" spans="1:6" x14ac:dyDescent="0.25">
      <c r="B35" s="13" t="str">
        <f>"Barthel, Jodi (104)"</f>
        <v>Barthel, Jodi (104)</v>
      </c>
      <c r="C35" t="str">
        <f>"193 - 4"</f>
        <v>193 - 4</v>
      </c>
      <c r="D35" t="str">
        <f>"199 - 6"</f>
        <v>199 - 6</v>
      </c>
      <c r="E35" t="str">
        <f>"170 - 3"</f>
        <v>170 - 3</v>
      </c>
      <c r="F35" t="str">
        <f>"562 - 13"</f>
        <v>562 - 13</v>
      </c>
    </row>
    <row r="36" spans="1:6" x14ac:dyDescent="0.25">
      <c r="B36" s="12" t="s">
        <v>30</v>
      </c>
    </row>
    <row r="37" spans="1:6" x14ac:dyDescent="0.25">
      <c r="B37" s="13" t="str">
        <f>"Barthel, Jacob (102)"</f>
        <v>Barthel, Jacob (102)</v>
      </c>
      <c r="C37" t="str">
        <f>"190 - 3"</f>
        <v>190 - 3</v>
      </c>
      <c r="D37" t="str">
        <f>"194 - 3"</f>
        <v>194 - 3</v>
      </c>
      <c r="E37" t="str">
        <f>"177 - 3"</f>
        <v>177 - 3</v>
      </c>
      <c r="F37" t="str">
        <f>"561 - 9"</f>
        <v>561 - 9</v>
      </c>
    </row>
    <row r="38" spans="1:6" x14ac:dyDescent="0.25">
      <c r="A38" s="10" t="s">
        <v>22</v>
      </c>
      <c r="B38" s="13" t="str">
        <f>"Mertes, Conner (109)"</f>
        <v>Mertes, Conner (109)</v>
      </c>
      <c r="C38" t="str">
        <f>"188 - 6"</f>
        <v>188 - 6</v>
      </c>
      <c r="D38" t="str">
        <f>"180 - 3"</f>
        <v>180 - 3</v>
      </c>
      <c r="E38" t="str">
        <f>"181 - 3"</f>
        <v>181 - 3</v>
      </c>
      <c r="F38" t="str">
        <f>"549 - 12"</f>
        <v>549 - 12</v>
      </c>
    </row>
    <row r="40" spans="1:6" ht="18.75" x14ac:dyDescent="0.3">
      <c r="B40" s="8" t="s">
        <v>33</v>
      </c>
      <c r="C40" s="8"/>
      <c r="D40" s="8"/>
      <c r="E40" s="8"/>
      <c r="F40" s="8"/>
    </row>
    <row r="41" spans="1:6" x14ac:dyDescent="0.25">
      <c r="B41" s="12" t="s">
        <v>25</v>
      </c>
      <c r="C41" t="s">
        <v>26</v>
      </c>
      <c r="D41" t="s">
        <v>27</v>
      </c>
      <c r="E41" t="s">
        <v>28</v>
      </c>
      <c r="F41" t="s">
        <v>5</v>
      </c>
    </row>
    <row r="42" spans="1:6" x14ac:dyDescent="0.25">
      <c r="B42" t="str">
        <f>"Betterly, David (101)"</f>
        <v>Betterly, David (101)</v>
      </c>
      <c r="C42" t="str">
        <f>"200 - 15"</f>
        <v>200 - 15</v>
      </c>
      <c r="D42" t="str">
        <f>"200 - 11"</f>
        <v>200 - 11</v>
      </c>
      <c r="E42" t="str">
        <f>"198 - 8"</f>
        <v>198 - 8</v>
      </c>
      <c r="F42" t="str">
        <f>"598 - 34"</f>
        <v>598 - 34</v>
      </c>
    </row>
    <row r="43" spans="1:6" x14ac:dyDescent="0.25">
      <c r="B43" t="str">
        <f>"Miller, Michael (105)"</f>
        <v>Miller, Michael (105)</v>
      </c>
      <c r="C43" t="str">
        <f>"181 - 1"</f>
        <v>181 - 1</v>
      </c>
      <c r="D43" t="str">
        <f>"188 - 4"</f>
        <v>188 - 4</v>
      </c>
      <c r="E43" t="str">
        <f>"171 - 1"</f>
        <v>171 - 1</v>
      </c>
      <c r="F43" t="str">
        <f>"540 - 6"</f>
        <v>540 - 6</v>
      </c>
    </row>
    <row r="44" spans="1:6" x14ac:dyDescent="0.25">
      <c r="B44" s="14" t="s">
        <v>29</v>
      </c>
    </row>
    <row r="45" spans="1:6" x14ac:dyDescent="0.25">
      <c r="B45" t="str">
        <f>"Kaminski, Lois (102)"</f>
        <v>Kaminski, Lois (102)</v>
      </c>
      <c r="C45" t="str">
        <f>"194 - 4"</f>
        <v>194 - 4</v>
      </c>
      <c r="D45" t="str">
        <f>"196 - 4"</f>
        <v>196 - 4</v>
      </c>
      <c r="E45" t="str">
        <f>"188 - 8"</f>
        <v>188 - 8</v>
      </c>
      <c r="F45" t="str">
        <f>"578 - 16"</f>
        <v>578 - 16</v>
      </c>
    </row>
    <row r="46" spans="1:6" x14ac:dyDescent="0.25">
      <c r="B46" s="14" t="s">
        <v>30</v>
      </c>
    </row>
    <row r="47" spans="1:6" x14ac:dyDescent="0.25">
      <c r="B47" t="str">
        <f>"Pio, George (104)"</f>
        <v>Pio, George (104)</v>
      </c>
      <c r="C47" t="str">
        <f>"194 - 7"</f>
        <v>194 - 7</v>
      </c>
      <c r="D47" t="str">
        <f>"183 - 2"</f>
        <v>183 - 2</v>
      </c>
      <c r="E47" t="str">
        <f>"166 - 2"</f>
        <v>166 - 2</v>
      </c>
      <c r="F47" t="str">
        <f>"543 - 11"</f>
        <v>543 - 11</v>
      </c>
    </row>
    <row r="48" spans="1:6" x14ac:dyDescent="0.25">
      <c r="B48" s="12" t="s">
        <v>34</v>
      </c>
    </row>
    <row r="49" spans="1:7" x14ac:dyDescent="0.25">
      <c r="A49" s="10" t="s">
        <v>22</v>
      </c>
      <c r="B49" t="str">
        <f>"Baker, Luke (103)"</f>
        <v>Baker, Luke (103)</v>
      </c>
      <c r="C49" t="str">
        <f>"168 - 1"</f>
        <v>168 - 1</v>
      </c>
      <c r="D49" t="str">
        <f>"173 - 0"</f>
        <v>173 - 0</v>
      </c>
      <c r="E49" t="str">
        <f>"130 - 2"</f>
        <v>130 - 2</v>
      </c>
      <c r="F49" t="str">
        <f>"471 - 3"</f>
        <v>471 - 3</v>
      </c>
    </row>
    <row r="51" spans="1:7" ht="18.75" x14ac:dyDescent="0.3">
      <c r="B51" s="8" t="s">
        <v>35</v>
      </c>
      <c r="C51" s="8"/>
      <c r="D51" s="8"/>
      <c r="E51" s="8"/>
      <c r="F51" s="8"/>
      <c r="G51" s="1"/>
    </row>
    <row r="52" spans="1:7" x14ac:dyDescent="0.25">
      <c r="B52" s="12" t="s">
        <v>25</v>
      </c>
      <c r="C52" t="s">
        <v>26</v>
      </c>
      <c r="D52" t="s">
        <v>27</v>
      </c>
      <c r="E52" t="s">
        <v>28</v>
      </c>
      <c r="F52" t="s">
        <v>5</v>
      </c>
    </row>
    <row r="53" spans="1:7" x14ac:dyDescent="0.25">
      <c r="B53" t="str">
        <f>"Gustafson, George (104)"</f>
        <v>Gustafson, George (104)</v>
      </c>
      <c r="C53" t="str">
        <f>"199 - 11"</f>
        <v>199 - 11</v>
      </c>
      <c r="D53" t="str">
        <f>"199 - 12"</f>
        <v>199 - 12</v>
      </c>
      <c r="E53" t="str">
        <f>"199 - 11"</f>
        <v>199 - 11</v>
      </c>
      <c r="F53" t="str">
        <f>"597 - 34"</f>
        <v>597 - 34</v>
      </c>
    </row>
    <row r="54" spans="1:7" x14ac:dyDescent="0.25">
      <c r="B54" t="str">
        <f>"Nohns, Dalton (106)"</f>
        <v>Nohns, Dalton (106)</v>
      </c>
      <c r="C54" t="str">
        <f>"199 - 9"</f>
        <v>199 - 9</v>
      </c>
      <c r="D54" t="str">
        <f>"193 - 9"</f>
        <v>193 - 9</v>
      </c>
      <c r="E54" t="str">
        <f>"191 - 4"</f>
        <v>191 - 4</v>
      </c>
      <c r="F54" t="str">
        <f>"583 - 22"</f>
        <v>583 - 22</v>
      </c>
    </row>
    <row r="55" spans="1:7" x14ac:dyDescent="0.25">
      <c r="A55" s="10" t="s">
        <v>22</v>
      </c>
      <c r="B55" t="str">
        <f>"Culbert, Glenn (103)"</f>
        <v>Culbert, Glenn (103)</v>
      </c>
      <c r="C55" t="str">
        <f>"190 - 5"</f>
        <v>190 - 5</v>
      </c>
      <c r="D55" t="str">
        <f>"193 - 7"</f>
        <v>193 - 7</v>
      </c>
      <c r="E55" t="str">
        <f>"197 - 8"</f>
        <v>197 - 8</v>
      </c>
      <c r="F55" t="str">
        <f>"580 - 20"</f>
        <v>580 - 20</v>
      </c>
    </row>
    <row r="56" spans="1:7" x14ac:dyDescent="0.25">
      <c r="B56" t="str">
        <f>"Barthel, Frank (101)"</f>
        <v>Barthel, Frank (101)</v>
      </c>
      <c r="C56" t="str">
        <f>"194 - 6"</f>
        <v>194 - 6</v>
      </c>
      <c r="D56" t="str">
        <f>"189 - 3"</f>
        <v>189 - 3</v>
      </c>
      <c r="E56" t="str">
        <f>"186 - 5"</f>
        <v>186 - 5</v>
      </c>
      <c r="F56" t="str">
        <f>"569 - 14"</f>
        <v>569 - 14</v>
      </c>
    </row>
    <row r="57" spans="1:7" x14ac:dyDescent="0.25">
      <c r="A57" s="10" t="s">
        <v>22</v>
      </c>
      <c r="B57" t="str">
        <f>"Dunn, Micheal (105)"</f>
        <v>Dunn, Micheal (105)</v>
      </c>
      <c r="C57" t="str">
        <f>"183 - 2"</f>
        <v>183 - 2</v>
      </c>
      <c r="D57" t="str">
        <f>"178 - 3"</f>
        <v>178 - 3</v>
      </c>
      <c r="E57" t="str">
        <f>"196 - 8"</f>
        <v>196 - 8</v>
      </c>
      <c r="F57" t="str">
        <f>"557 - 13"</f>
        <v>557 - 13</v>
      </c>
    </row>
    <row r="58" spans="1:7" x14ac:dyDescent="0.25">
      <c r="B58" t="str">
        <f>"Stewart, Luke (107)"</f>
        <v>Stewart, Luke (107)</v>
      </c>
      <c r="C58" t="str">
        <f>"181 - 4"</f>
        <v>181 - 4</v>
      </c>
      <c r="D58" t="str">
        <f>"181 - 2"</f>
        <v>181 - 2</v>
      </c>
      <c r="E58" t="str">
        <f>"128 - 1"</f>
        <v>128 - 1</v>
      </c>
      <c r="F58" t="str">
        <f>"490 - 7"</f>
        <v>490 - 7</v>
      </c>
    </row>
    <row r="59" spans="1:7" x14ac:dyDescent="0.25">
      <c r="B59" t="str">
        <f>"LaForest, Marc (102)"</f>
        <v>LaForest, Marc (102)</v>
      </c>
      <c r="C59" t="str">
        <f>"161 - 1"</f>
        <v>161 - 1</v>
      </c>
      <c r="D59" t="str">
        <f>"147 - 1"</f>
        <v>147 - 1</v>
      </c>
      <c r="E59" t="str">
        <f>"121 - 1"</f>
        <v>121 - 1</v>
      </c>
      <c r="F59" t="str">
        <f>"429 - 3"</f>
        <v>429 - 3</v>
      </c>
    </row>
    <row r="60" spans="1:7" x14ac:dyDescent="0.25">
      <c r="B60" t="str">
        <f>"Stewart, John   (108)"</f>
        <v>Stewart, John   (108)</v>
      </c>
      <c r="C60" t="str">
        <f>"142 - 1"</f>
        <v>142 - 1</v>
      </c>
      <c r="D60" t="str">
        <f>"129 - 0"</f>
        <v>129 - 0</v>
      </c>
      <c r="E60" t="str">
        <f>"103 - 0"</f>
        <v>103 - 0</v>
      </c>
      <c r="F60" t="str">
        <f>"374 - 1"</f>
        <v>374 - 1</v>
      </c>
    </row>
    <row r="61" spans="1:7" x14ac:dyDescent="0.25">
      <c r="B61"/>
    </row>
    <row r="62" spans="1:7" x14ac:dyDescent="0.25">
      <c r="B62" s="15" t="s">
        <v>21</v>
      </c>
      <c r="C62" s="15"/>
      <c r="D62" s="15"/>
      <c r="E62" s="15"/>
      <c r="F62" s="15"/>
    </row>
    <row r="63" spans="1:7" ht="16.5" customHeight="1" x14ac:dyDescent="0.25">
      <c r="B63" s="7" t="s">
        <v>36</v>
      </c>
      <c r="C63" s="7"/>
      <c r="D63" s="7"/>
      <c r="E63" s="7"/>
      <c r="F63" s="7"/>
    </row>
    <row r="64" spans="1:7" x14ac:dyDescent="0.25">
      <c r="B64" s="16" t="s">
        <v>37</v>
      </c>
    </row>
  </sheetData>
  <mergeCells count="8">
    <mergeCell ref="B62:F62"/>
    <mergeCell ref="B63:F63"/>
    <mergeCell ref="B1:F1"/>
    <mergeCell ref="B2:F2"/>
    <mergeCell ref="B14:G14"/>
    <mergeCell ref="B28:G28"/>
    <mergeCell ref="B40:F40"/>
    <mergeCell ref="B51:F51"/>
  </mergeCells>
  <hyperlinks>
    <hyperlink ref="B64" r:id="rId1" xr:uid="{D31BCD50-8035-4EFA-9C5B-0569E2B84B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BB Gun</vt:lpstr>
      <vt:lpstr>Pistol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Cameron Zwart</cp:lastModifiedBy>
  <cp:lastPrinted>2017-08-08T15:37:59Z</cp:lastPrinted>
  <dcterms:created xsi:type="dcterms:W3CDTF">2017-08-06T19:08:13Z</dcterms:created>
  <dcterms:modified xsi:type="dcterms:W3CDTF">2026-07-04T01:12:15Z</dcterms:modified>
</cp:coreProperties>
</file>